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9555" windowHeight="69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2" i="1" l="1"/>
  <c r="E10" i="1" l="1"/>
  <c r="J3" i="1"/>
  <c r="M15" i="1"/>
  <c r="W15" i="1"/>
  <c r="Z15" i="1" s="1"/>
  <c r="M16" i="1"/>
  <c r="W16" i="1"/>
  <c r="Z16" i="1" s="1"/>
  <c r="W17" i="1"/>
  <c r="Z17" i="1" s="1"/>
  <c r="W18" i="1"/>
  <c r="Z18" i="1" s="1"/>
  <c r="E19" i="1"/>
  <c r="E20" i="1" s="1"/>
  <c r="W19" i="1"/>
  <c r="Z19" i="1" s="1"/>
  <c r="W20" i="1"/>
  <c r="Z20" i="1" s="1"/>
  <c r="M21" i="1"/>
  <c r="W21" i="1"/>
  <c r="Z21" i="1" s="1"/>
  <c r="M22" i="1"/>
  <c r="W22" i="1"/>
  <c r="Z22" i="1" s="1"/>
  <c r="W8" i="1"/>
  <c r="S1" i="1"/>
  <c r="L16" i="1" s="1"/>
  <c r="AB16" i="1" s="1"/>
  <c r="W14" i="1"/>
  <c r="W13" i="1"/>
  <c r="W12" i="1"/>
  <c r="W9" i="1"/>
  <c r="W10" i="1"/>
  <c r="W11" i="1"/>
  <c r="M19" i="1" l="1"/>
  <c r="L22" i="1"/>
  <c r="AB22" i="1" s="1"/>
  <c r="L15" i="1"/>
  <c r="AB15" i="1" s="1"/>
  <c r="L21" i="1"/>
  <c r="AB21" i="1" s="1"/>
  <c r="E18" i="1"/>
  <c r="M18" i="1" s="1"/>
  <c r="L18" i="1" s="1"/>
  <c r="AB18" i="1" s="1"/>
  <c r="E17" i="1"/>
  <c r="L19" i="1"/>
  <c r="AB19" i="1" s="1"/>
  <c r="M20" i="1"/>
  <c r="L20" i="1" s="1"/>
  <c r="AB20" i="1" s="1"/>
  <c r="S3" i="1"/>
  <c r="S2" i="1" s="1"/>
  <c r="F22" i="1" l="1"/>
  <c r="F19" i="1"/>
  <c r="F20" i="1"/>
  <c r="F15" i="1"/>
  <c r="F16" i="1"/>
  <c r="F18" i="1"/>
  <c r="G18" i="1" s="1"/>
  <c r="I18" i="1" s="1"/>
  <c r="AA18" i="1" s="1"/>
  <c r="F17" i="1"/>
  <c r="G17" i="1" s="1"/>
  <c r="I17" i="1" s="1"/>
  <c r="F21" i="1"/>
  <c r="M17" i="1"/>
  <c r="L17" i="1" s="1"/>
  <c r="AB17" i="1" s="1"/>
  <c r="H17" i="1" l="1"/>
  <c r="J17" i="1" s="1"/>
  <c r="K18" i="1"/>
  <c r="Y18" i="1" s="1"/>
  <c r="H18" i="1"/>
  <c r="J18" i="1" s="1"/>
  <c r="K17" i="1"/>
  <c r="Y17" i="1" s="1"/>
  <c r="AA17" i="1"/>
  <c r="G21" i="1"/>
  <c r="I21" i="1" s="1"/>
  <c r="H21" i="1"/>
  <c r="J21" i="1" s="1"/>
  <c r="G20" i="1"/>
  <c r="I20" i="1" s="1"/>
  <c r="H20" i="1"/>
  <c r="J20" i="1" s="1"/>
  <c r="G19" i="1"/>
  <c r="I19" i="1" s="1"/>
  <c r="H19" i="1"/>
  <c r="J19" i="1" s="1"/>
  <c r="G15" i="1"/>
  <c r="I15" i="1" s="1"/>
  <c r="H15" i="1"/>
  <c r="J15" i="1" s="1"/>
  <c r="G16" i="1"/>
  <c r="I16" i="1" s="1"/>
  <c r="H16" i="1"/>
  <c r="J16" i="1" s="1"/>
  <c r="H22" i="1"/>
  <c r="J22" i="1" s="1"/>
  <c r="G22" i="1"/>
  <c r="I22" i="1" s="1"/>
  <c r="X18" i="1"/>
  <c r="Z13" i="1"/>
  <c r="Z14" i="1"/>
  <c r="Z12" i="1"/>
  <c r="Z9" i="1"/>
  <c r="Z10" i="1"/>
  <c r="Z11" i="1"/>
  <c r="Z8" i="1"/>
  <c r="M10" i="1"/>
  <c r="L10" i="1" s="1"/>
  <c r="AB10" i="1" s="1"/>
  <c r="E13" i="1"/>
  <c r="M13" i="1" s="1"/>
  <c r="L13" i="1" s="1"/>
  <c r="AB13" i="1" s="1"/>
  <c r="E9" i="1"/>
  <c r="M9" i="1" s="1"/>
  <c r="L9" i="1" s="1"/>
  <c r="AB9" i="1" s="1"/>
  <c r="M12" i="1"/>
  <c r="L12" i="1" s="1"/>
  <c r="AB12" i="1" s="1"/>
  <c r="M14" i="1"/>
  <c r="L14" i="1" s="1"/>
  <c r="AB14" i="1" s="1"/>
  <c r="M8" i="1"/>
  <c r="L8" i="1" s="1"/>
  <c r="AB8" i="1" s="1"/>
  <c r="D3" i="1"/>
  <c r="AA19" i="1" l="1"/>
  <c r="K19" i="1"/>
  <c r="Y19" i="1" s="1"/>
  <c r="AA22" i="1"/>
  <c r="K22" i="1"/>
  <c r="Y22" i="1" s="1"/>
  <c r="K16" i="1"/>
  <c r="Y16" i="1" s="1"/>
  <c r="AA16" i="1"/>
  <c r="K21" i="1"/>
  <c r="Y21" i="1" s="1"/>
  <c r="AA21" i="1"/>
  <c r="AA15" i="1"/>
  <c r="K15" i="1"/>
  <c r="Y15" i="1" s="1"/>
  <c r="AA20" i="1"/>
  <c r="K20" i="1"/>
  <c r="Y20" i="1" s="1"/>
  <c r="X17" i="1"/>
  <c r="AC18" i="1"/>
  <c r="AD18" i="1"/>
  <c r="E11" i="1"/>
  <c r="M11" i="1" s="1"/>
  <c r="L11" i="1" s="1"/>
  <c r="AB11" i="1" s="1"/>
  <c r="F12" i="1"/>
  <c r="F8" i="1"/>
  <c r="G8" i="1" s="1"/>
  <c r="F13" i="1"/>
  <c r="F9" i="1"/>
  <c r="F10" i="1"/>
  <c r="F14" i="1"/>
  <c r="F11" i="1"/>
  <c r="G11" i="1" s="1"/>
  <c r="X20" i="1" l="1"/>
  <c r="X22" i="1"/>
  <c r="AD17" i="1"/>
  <c r="AC17" i="1"/>
  <c r="X15" i="1"/>
  <c r="X19" i="1"/>
  <c r="X21" i="1"/>
  <c r="X16" i="1"/>
  <c r="H10" i="1"/>
  <c r="J10" i="1" s="1"/>
  <c r="G10" i="1"/>
  <c r="H13" i="1"/>
  <c r="J13" i="1" s="1"/>
  <c r="G13" i="1"/>
  <c r="H14" i="1"/>
  <c r="J14" i="1" s="1"/>
  <c r="G14" i="1"/>
  <c r="H9" i="1"/>
  <c r="J9" i="1" s="1"/>
  <c r="G9" i="1"/>
  <c r="H12" i="1"/>
  <c r="J12" i="1" s="1"/>
  <c r="G12" i="1"/>
  <c r="I11" i="1"/>
  <c r="AA11" i="1" s="1"/>
  <c r="H11" i="1"/>
  <c r="J11" i="1" s="1"/>
  <c r="I8" i="1"/>
  <c r="H8" i="1"/>
  <c r="J8" i="1" s="1"/>
  <c r="AC21" i="1" l="1"/>
  <c r="AD21" i="1"/>
  <c r="AC15" i="1"/>
  <c r="AD15" i="1"/>
  <c r="AD16" i="1"/>
  <c r="AC16" i="1"/>
  <c r="AC19" i="1"/>
  <c r="AD19" i="1"/>
  <c r="AD20" i="1"/>
  <c r="AC20" i="1"/>
  <c r="AD22" i="1"/>
  <c r="AC22" i="1"/>
  <c r="AA8" i="1"/>
  <c r="K8" i="1"/>
  <c r="Y8" i="1" s="1"/>
  <c r="K11" i="1"/>
  <c r="Y11" i="1" s="1"/>
  <c r="I12" i="1"/>
  <c r="AA12" i="1" s="1"/>
  <c r="I14" i="1"/>
  <c r="AA14" i="1" s="1"/>
  <c r="I13" i="1"/>
  <c r="AA13" i="1" s="1"/>
  <c r="I9" i="1"/>
  <c r="I10" i="1"/>
  <c r="AA10" i="1" l="1"/>
  <c r="AA9" i="1"/>
  <c r="X11" i="1"/>
  <c r="X8" i="1"/>
  <c r="K13" i="1"/>
  <c r="Y13" i="1" s="1"/>
  <c r="K14" i="1"/>
  <c r="Y14" i="1" s="1"/>
  <c r="K10" i="1"/>
  <c r="Y10" i="1" s="1"/>
  <c r="K12" i="1"/>
  <c r="Y12" i="1" s="1"/>
  <c r="K9" i="1"/>
  <c r="Y9" i="1" s="1"/>
  <c r="AD8" i="1" l="1"/>
  <c r="AC8" i="1"/>
  <c r="AC11" i="1"/>
  <c r="AD11" i="1"/>
  <c r="X13" i="1"/>
  <c r="X12" i="1"/>
  <c r="X10" i="1"/>
  <c r="X14" i="1"/>
  <c r="X9" i="1"/>
  <c r="AD14" i="1" l="1"/>
  <c r="AC14" i="1"/>
  <c r="AC12" i="1"/>
  <c r="AD12" i="1"/>
  <c r="AD10" i="1"/>
  <c r="AC10" i="1"/>
  <c r="AD9" i="1"/>
  <c r="AC9" i="1"/>
  <c r="AD13" i="1"/>
  <c r="AC13" i="1"/>
</calcChain>
</file>

<file path=xl/comments1.xml><?xml version="1.0" encoding="utf-8"?>
<comments xmlns="http://schemas.openxmlformats.org/spreadsheetml/2006/main">
  <authors>
    <author>Ernests Dreimanis</author>
  </authors>
  <commentList>
    <comment ref="O8" authorId="0">
      <text>
        <r>
          <rPr>
            <b/>
            <sz val="9"/>
            <color indexed="81"/>
            <rFont val="Tahoma"/>
            <family val="2"/>
            <charset val="186"/>
          </rPr>
          <t>Ernests Dreimanis:</t>
        </r>
        <r>
          <rPr>
            <sz val="9"/>
            <color indexed="81"/>
            <rFont val="Tahoma"/>
            <family val="2"/>
            <charset val="186"/>
          </rPr>
          <t xml:space="preserve">
pieslēgums, tīkls, rakšana
uzstādīšana utt
</t>
        </r>
      </text>
    </comment>
    <comment ref="O10" authorId="0">
      <text>
        <r>
          <rPr>
            <b/>
            <sz val="9"/>
            <color indexed="81"/>
            <rFont val="Tahoma"/>
            <family val="2"/>
            <charset val="186"/>
          </rPr>
          <t>Ernests Dreimanis:</t>
        </r>
        <r>
          <rPr>
            <sz val="9"/>
            <color indexed="81"/>
            <rFont val="Tahoma"/>
            <family val="2"/>
            <charset val="186"/>
          </rPr>
          <t xml:space="preserve">
zemes kontūrs, ierakšana, glikoli, palaišana
</t>
        </r>
      </text>
    </comment>
    <comment ref="O12" authorId="0">
      <text>
        <r>
          <rPr>
            <b/>
            <sz val="9"/>
            <color indexed="81"/>
            <rFont val="Tahoma"/>
            <family val="2"/>
            <charset val="186"/>
          </rPr>
          <t>Ernests Dreimanis:</t>
        </r>
        <r>
          <rPr>
            <sz val="9"/>
            <color indexed="81"/>
            <rFont val="Tahoma"/>
            <family val="2"/>
            <charset val="186"/>
          </rPr>
          <t xml:space="preserve">
2m3 akumulācija, apsaite, skurstenis 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186"/>
          </rPr>
          <t>Ernests Dreimanis:</t>
        </r>
        <r>
          <rPr>
            <sz val="9"/>
            <color indexed="81"/>
            <rFont val="Tahoma"/>
            <family val="2"/>
            <charset val="186"/>
          </rPr>
          <t xml:space="preserve">
elektroinstalacija</t>
        </r>
      </text>
    </comment>
  </commentList>
</comments>
</file>

<file path=xl/sharedStrings.xml><?xml version="1.0" encoding="utf-8"?>
<sst xmlns="http://schemas.openxmlformats.org/spreadsheetml/2006/main" count="81" uniqueCount="68">
  <si>
    <t>Nepieciešamais kurināmā daudzums</t>
  </si>
  <si>
    <t>Kurināmā veids</t>
  </si>
  <si>
    <t>mērv.</t>
  </si>
  <si>
    <t>Siltumspēja W</t>
  </si>
  <si>
    <t>Katla lietderības koeficients</t>
  </si>
  <si>
    <t>Cena LVL ar PVN</t>
  </si>
  <si>
    <t>Mēnesī</t>
  </si>
  <si>
    <t>Sezonā</t>
  </si>
  <si>
    <t>1 MWh saražošanas izmaksas LVL/MWh</t>
  </si>
  <si>
    <t>Dabas gāze</t>
  </si>
  <si>
    <r>
      <t>m</t>
    </r>
    <r>
      <rPr>
        <vertAlign val="superscript"/>
        <sz val="8"/>
        <color rgb="FF3F3F3F"/>
        <rFont val="Verdana"/>
        <family val="2"/>
        <charset val="186"/>
      </rPr>
      <t>3</t>
    </r>
  </si>
  <si>
    <t>Dabas gāze kondens.katls</t>
  </si>
  <si>
    <t>kWh</t>
  </si>
  <si>
    <t>Zemes siltumsūknis grīdas</t>
  </si>
  <si>
    <t>Zemes siltumsūknis radiatori</t>
  </si>
  <si>
    <t>Malka tērauda katls</t>
  </si>
  <si>
    <t>steri</t>
  </si>
  <si>
    <t>Malka ķeta katls</t>
  </si>
  <si>
    <t>Granulas</t>
  </si>
  <si>
    <t>kg/8% mitrums</t>
  </si>
  <si>
    <t>platība</t>
  </si>
  <si>
    <t>augstums</t>
  </si>
  <si>
    <t>m3</t>
  </si>
  <si>
    <t>iekštelpu temp</t>
  </si>
  <si>
    <t>1 m2 izmaksas</t>
  </si>
  <si>
    <t>Apkures katls</t>
  </si>
  <si>
    <t>Apkopes gadā</t>
  </si>
  <si>
    <t>Uzstādīšanas maksa</t>
  </si>
  <si>
    <t>10gadu summārā apkures izmaksas (kurināmais)</t>
  </si>
  <si>
    <t>Kurināmā sadārdzinājums</t>
  </si>
  <si>
    <t>kapitāla cena</t>
  </si>
  <si>
    <t>apkures iekārtas platība mājā (m2)</t>
  </si>
  <si>
    <t>Kurināmā izmaksas (Ls)</t>
  </si>
  <si>
    <t>Izbūves izmaksas ar 10gadu procentiem</t>
  </si>
  <si>
    <t>Sākotnējās izmaksas ieskaitot papildplatības izmaksas</t>
  </si>
  <si>
    <t>Papildus NīN + apkure gadā</t>
  </si>
  <si>
    <t>siltuma zudumi kWh/2</t>
  </si>
  <si>
    <t>Radiatori / siltā grīda</t>
  </si>
  <si>
    <t>Aprēķina gadi</t>
  </si>
  <si>
    <t>NĪN + papildplatības apkure 10gadu griezumā</t>
  </si>
  <si>
    <t>Dotā tabula atspoguļo enerģijas patēriņu ēkai</t>
  </si>
  <si>
    <t>Propāna gāze (Balonu kasetes)</t>
  </si>
  <si>
    <t>kg</t>
  </si>
  <si>
    <t>Sašķidrinātā gāze</t>
  </si>
  <si>
    <t>Elektro enerģija</t>
  </si>
  <si>
    <t>Gaisa siltumsūknis</t>
  </si>
  <si>
    <t>Ogles tērauda katls</t>
  </si>
  <si>
    <t>Ogles ķeta katls</t>
  </si>
  <si>
    <t>Dīzeļdegviela</t>
  </si>
  <si>
    <t>ltr</t>
  </si>
  <si>
    <t>kg/12% mitrums</t>
  </si>
  <si>
    <t>Graudi (granulu katls)</t>
  </si>
  <si>
    <t>kurināmā glabātuve (šķūnis)</t>
  </si>
  <si>
    <t xml:space="preserve">Siltumaprēķina dati: www.omulis.lv </t>
  </si>
  <si>
    <t>boileris / kobinetais  / udens tvertne</t>
  </si>
  <si>
    <t>apkure</t>
  </si>
  <si>
    <t>ūdens</t>
  </si>
  <si>
    <t>Karstais ūdens (Ls)</t>
  </si>
  <si>
    <t>Cik mēnešus gadā karsto ūdeni silda ar pamatapkuri?</t>
  </si>
  <si>
    <t>10gadu summārā ūdens izmaksas (kurināmais)</t>
  </si>
  <si>
    <t>Apkures TCO</t>
  </si>
  <si>
    <t>Pavisam (izbūve, apkure, karst.ūdens) kopā</t>
  </si>
  <si>
    <t>karstais H20 mēnesī (m3)</t>
  </si>
  <si>
    <t>apkures sezona (grādu dienas)</t>
  </si>
  <si>
    <t>ūdens uzsildīšana kWh/m3</t>
  </si>
  <si>
    <t>mājas apkure kwh/mēn</t>
  </si>
  <si>
    <t>mājas apkure kwh/gadā</t>
  </si>
  <si>
    <t>Mājas izbuves m2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</si>
</sst>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Ls&quot;\ * #,##0.00_-;\-&quot;Ls&quot;\ * #,##0.00_-;_-&quot;Ls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_-;\-* #,##0.0_-;_-* &quot;-&quot;??_-;_-@_-"/>
    <numFmt numFmtId="166" formatCode="_-* #,##0_-;\-* #,##0_-;_-* &quot;-&quot;??_-;_-@_-"/>
    <numFmt numFmtId="167" formatCode="_-* #,##0_-;\-* #,##0_-;_-* &quot;-&quot;?_-;_-@_-"/>
    <numFmt numFmtId="168" formatCode="_-&quot;Ls&quot;\ * #,##0_-;\-&quot;Ls&quot;\ * #,##0_-;_-&quot;Ls&quot;\ * &quot;-&quot;??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8"/>
      <color rgb="FF3F3F3F"/>
      <name val="Verdana"/>
      <family val="2"/>
      <charset val="186"/>
    </font>
    <font>
      <b/>
      <sz val="8"/>
      <color rgb="FF3F3F3F"/>
      <name val="Verdana"/>
      <family val="2"/>
      <charset val="186"/>
    </font>
    <font>
      <vertAlign val="superscript"/>
      <sz val="8"/>
      <color rgb="FF3F3F3F"/>
      <name val="Verdana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3F3F76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9" fontId="0" fillId="0" borderId="0" xfId="2" applyFont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0" fontId="0" fillId="0" borderId="0" xfId="0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9" fontId="3" fillId="4" borderId="0" xfId="2" applyFont="1" applyFill="1" applyBorder="1" applyAlignment="1">
      <alignment horizontal="center" vertical="center" wrapText="1"/>
    </xf>
    <xf numFmtId="164" fontId="3" fillId="4" borderId="0" xfId="1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3" fillId="0" borderId="0" xfId="2" applyFont="1" applyFill="1" applyBorder="1" applyAlignment="1">
      <alignment horizontal="left" vertical="center" wrapText="1"/>
    </xf>
    <xf numFmtId="43" fontId="3" fillId="0" borderId="0" xfId="0" applyNumberFormat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 wrapText="1"/>
    </xf>
    <xf numFmtId="43" fontId="3" fillId="3" borderId="6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9" fontId="3" fillId="0" borderId="8" xfId="2" applyFont="1" applyFill="1" applyBorder="1" applyAlignment="1">
      <alignment horizontal="left" vertical="center" wrapText="1"/>
    </xf>
    <xf numFmtId="43" fontId="3" fillId="0" borderId="8" xfId="0" applyNumberFormat="1" applyFont="1" applyFill="1" applyBorder="1" applyAlignment="1">
      <alignment horizontal="left" vertical="center" wrapText="1"/>
    </xf>
    <xf numFmtId="43" fontId="3" fillId="0" borderId="8" xfId="1" applyFont="1" applyFill="1" applyBorder="1" applyAlignment="1">
      <alignment horizontal="left" vertical="center" wrapText="1"/>
    </xf>
    <xf numFmtId="43" fontId="3" fillId="3" borderId="9" xfId="0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0" fillId="0" borderId="8" xfId="0" applyNumberFormat="1" applyBorder="1"/>
    <xf numFmtId="0" fontId="0" fillId="0" borderId="8" xfId="0" applyBorder="1"/>
    <xf numFmtId="43" fontId="0" fillId="0" borderId="0" xfId="0" applyNumberFormat="1" applyBorder="1"/>
    <xf numFmtId="0" fontId="0" fillId="0" borderId="0" xfId="0" applyBorder="1"/>
    <xf numFmtId="0" fontId="2" fillId="2" borderId="0" xfId="3" applyBorder="1"/>
    <xf numFmtId="0" fontId="3" fillId="4" borderId="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2" borderId="5" xfId="3" applyBorder="1" applyAlignment="1">
      <alignment wrapText="1"/>
    </xf>
    <xf numFmtId="0" fontId="2" fillId="2" borderId="6" xfId="3" applyBorder="1"/>
    <xf numFmtId="0" fontId="2" fillId="2" borderId="7" xfId="3" applyBorder="1" applyAlignment="1">
      <alignment wrapText="1"/>
    </xf>
    <xf numFmtId="0" fontId="2" fillId="2" borderId="8" xfId="3" applyBorder="1"/>
    <xf numFmtId="0" fontId="2" fillId="2" borderId="9" xfId="3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2" fillId="2" borderId="1" xfId="3" applyNumberFormat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164" fontId="2" fillId="2" borderId="10" xfId="3" applyNumberFormat="1" applyBorder="1" applyAlignment="1">
      <alignment horizontal="center" vertical="center" wrapText="1"/>
    </xf>
    <xf numFmtId="168" fontId="0" fillId="0" borderId="0" xfId="4" applyNumberFormat="1" applyFont="1"/>
    <xf numFmtId="168" fontId="0" fillId="0" borderId="0" xfId="4" applyNumberFormat="1" applyFont="1" applyAlignment="1">
      <alignment wrapText="1"/>
    </xf>
    <xf numFmtId="168" fontId="3" fillId="4" borderId="0" xfId="4" applyNumberFormat="1" applyFont="1" applyFill="1" applyBorder="1" applyAlignment="1">
      <alignment horizontal="center" vertical="center" wrapText="1"/>
    </xf>
    <xf numFmtId="168" fontId="0" fillId="0" borderId="8" xfId="4" applyNumberFormat="1" applyFont="1" applyBorder="1"/>
    <xf numFmtId="168" fontId="0" fillId="0" borderId="0" xfId="4" applyNumberFormat="1" applyFont="1" applyBorder="1"/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wrapText="1"/>
    </xf>
    <xf numFmtId="166" fontId="9" fillId="2" borderId="1" xfId="1" applyNumberFormat="1" applyFont="1" applyFill="1" applyBorder="1" applyAlignment="1">
      <alignment wrapText="1"/>
    </xf>
    <xf numFmtId="164" fontId="8" fillId="0" borderId="0" xfId="1" applyNumberFormat="1" applyFont="1" applyAlignment="1">
      <alignment wrapText="1"/>
    </xf>
    <xf numFmtId="0" fontId="9" fillId="2" borderId="1" xfId="3" applyFont="1" applyAlignment="1">
      <alignment wrapText="1"/>
    </xf>
    <xf numFmtId="9" fontId="9" fillId="2" borderId="1" xfId="3" applyNumberFormat="1" applyFont="1" applyAlignment="1">
      <alignment wrapText="1"/>
    </xf>
    <xf numFmtId="43" fontId="8" fillId="0" borderId="0" xfId="0" applyNumberFormat="1" applyFont="1" applyAlignment="1">
      <alignment wrapText="1"/>
    </xf>
    <xf numFmtId="168" fontId="8" fillId="0" borderId="0" xfId="4" applyNumberFormat="1" applyFont="1" applyAlignment="1">
      <alignment wrapText="1"/>
    </xf>
    <xf numFmtId="165" fontId="9" fillId="2" borderId="1" xfId="1" applyNumberFormat="1" applyFont="1" applyFill="1" applyBorder="1" applyAlignment="1">
      <alignment wrapText="1"/>
    </xf>
    <xf numFmtId="167" fontId="9" fillId="2" borderId="1" xfId="3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168" fontId="9" fillId="2" borderId="1" xfId="4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4" builtinId="4"/>
    <cellStyle name="Input" xfId="3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9525</xdr:colOff>
      <xdr:row>5</xdr:row>
      <xdr:rowOff>9525</xdr:rowOff>
    </xdr:to>
    <xdr:pic>
      <xdr:nvPicPr>
        <xdr:cNvPr id="2" name="Picture 1" descr="http://www.omulis.lv/images/e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2"/>
  <sheetViews>
    <sheetView tabSelected="1" zoomScaleNormal="100" workbookViewId="0">
      <pane xSplit="1" topLeftCell="I1" activePane="topRight" state="frozen"/>
      <selection pane="topRight" activeCell="AB14" sqref="AB14"/>
    </sheetView>
  </sheetViews>
  <sheetFormatPr defaultRowHeight="15" x14ac:dyDescent="0.25"/>
  <cols>
    <col min="1" max="1" width="17.42578125" bestFit="1" customWidth="1"/>
    <col min="2" max="2" width="7.7109375" bestFit="1" customWidth="1"/>
    <col min="3" max="3" width="9" bestFit="1" customWidth="1"/>
    <col min="4" max="4" width="8.85546875" style="1" bestFit="1" customWidth="1"/>
    <col min="5" max="5" width="9.28515625" style="3" bestFit="1" customWidth="1"/>
    <col min="6" max="6" width="10.28515625" customWidth="1"/>
    <col min="7" max="7" width="10.28515625" bestFit="1" customWidth="1"/>
    <col min="8" max="8" width="7.7109375" bestFit="1" customWidth="1"/>
    <col min="9" max="9" width="9.28515625" bestFit="1" customWidth="1"/>
    <col min="10" max="10" width="6.5703125" bestFit="1" customWidth="1"/>
    <col min="11" max="11" width="7" bestFit="1" customWidth="1"/>
    <col min="12" max="12" width="9.5703125" bestFit="1" customWidth="1"/>
    <col min="13" max="13" width="8.5703125" bestFit="1" customWidth="1"/>
    <col min="14" max="14" width="11.7109375" customWidth="1"/>
    <col min="15" max="15" width="11.5703125" style="5" bestFit="1" customWidth="1"/>
    <col min="16" max="17" width="8.28515625" bestFit="1" customWidth="1"/>
    <col min="18" max="18" width="10" customWidth="1"/>
    <col min="19" max="19" width="9.7109375" bestFit="1" customWidth="1"/>
    <col min="20" max="20" width="8" bestFit="1" customWidth="1"/>
    <col min="21" max="21" width="11.5703125" bestFit="1" customWidth="1"/>
    <col min="22" max="22" width="9.42578125" bestFit="1" customWidth="1"/>
    <col min="23" max="23" width="13.140625" bestFit="1" customWidth="1"/>
    <col min="24" max="24" width="7.7109375" bestFit="1" customWidth="1"/>
    <col min="25" max="25" width="12.140625" bestFit="1" customWidth="1"/>
    <col min="26" max="26" width="10.85546875" style="52" bestFit="1" customWidth="1"/>
    <col min="27" max="27" width="11.42578125" style="52" bestFit="1" customWidth="1"/>
    <col min="28" max="28" width="10.7109375" style="52" bestFit="1" customWidth="1"/>
    <col min="29" max="29" width="12.42578125" style="52" bestFit="1" customWidth="1"/>
    <col min="30" max="30" width="10.5703125" style="52" bestFit="1" customWidth="1"/>
  </cols>
  <sheetData>
    <row r="1" spans="1:30" s="57" customFormat="1" ht="51" x14ac:dyDescent="0.2">
      <c r="C1" s="57" t="s">
        <v>20</v>
      </c>
      <c r="D1" s="59">
        <v>150</v>
      </c>
      <c r="E1" s="60"/>
      <c r="F1" s="57" t="s">
        <v>36</v>
      </c>
      <c r="G1" s="61">
        <v>80</v>
      </c>
      <c r="I1" s="57" t="s">
        <v>63</v>
      </c>
      <c r="J1" s="61">
        <v>203</v>
      </c>
      <c r="L1" s="57" t="s">
        <v>29</v>
      </c>
      <c r="M1" s="62">
        <v>7.0000000000000007E-2</v>
      </c>
      <c r="O1" s="57" t="s">
        <v>67</v>
      </c>
      <c r="P1" s="68">
        <v>400</v>
      </c>
      <c r="Q1" s="57" t="s">
        <v>56</v>
      </c>
      <c r="R1" s="58" t="s">
        <v>64</v>
      </c>
      <c r="S1" s="63">
        <f>1.16*45/90%</f>
        <v>57.999999999999993</v>
      </c>
      <c r="W1" s="57" t="s">
        <v>53</v>
      </c>
      <c r="Z1" s="64"/>
      <c r="AA1" s="64"/>
      <c r="AB1" s="64"/>
      <c r="AC1" s="64"/>
      <c r="AD1" s="64"/>
    </row>
    <row r="2" spans="1:30" s="57" customFormat="1" ht="38.25" x14ac:dyDescent="0.2">
      <c r="C2" s="57" t="s">
        <v>21</v>
      </c>
      <c r="D2" s="65">
        <v>2.8</v>
      </c>
      <c r="E2" s="60"/>
      <c r="F2" s="57" t="s">
        <v>62</v>
      </c>
      <c r="G2" s="66">
        <v>4</v>
      </c>
      <c r="I2" s="57" t="s">
        <v>23</v>
      </c>
      <c r="J2" s="61">
        <v>20</v>
      </c>
      <c r="L2" s="57" t="s">
        <v>30</v>
      </c>
      <c r="M2" s="62">
        <v>0.04</v>
      </c>
      <c r="O2" s="57" t="s">
        <v>52</v>
      </c>
      <c r="P2" s="68">
        <v>1000</v>
      </c>
      <c r="Q2" s="57" t="s">
        <v>55</v>
      </c>
      <c r="R2" s="60" t="s">
        <v>65</v>
      </c>
      <c r="S2" s="58">
        <f>S3/J1*30</f>
        <v>1773.3990147783252</v>
      </c>
      <c r="Z2" s="64"/>
      <c r="AA2" s="64"/>
      <c r="AB2" s="64"/>
      <c r="AC2" s="64"/>
      <c r="AD2" s="64"/>
    </row>
    <row r="3" spans="1:30" s="57" customFormat="1" ht="38.25" x14ac:dyDescent="0.2">
      <c r="C3" s="57" t="s">
        <v>22</v>
      </c>
      <c r="D3" s="67">
        <f>D2*D1</f>
        <v>420</v>
      </c>
      <c r="E3" s="60"/>
      <c r="G3" s="58"/>
      <c r="J3" s="57">
        <f>J1*J2</f>
        <v>4060</v>
      </c>
      <c r="K3" s="63"/>
      <c r="L3" s="57" t="s">
        <v>38</v>
      </c>
      <c r="M3" s="61">
        <v>10</v>
      </c>
      <c r="R3" s="60" t="s">
        <v>66</v>
      </c>
      <c r="S3" s="63">
        <f>G1*(J2/20)*D1</f>
        <v>12000</v>
      </c>
      <c r="Z3" s="64"/>
      <c r="AA3" s="64"/>
      <c r="AB3" s="64"/>
      <c r="AC3" s="64"/>
      <c r="AD3" s="64"/>
    </row>
    <row r="5" spans="1:30" ht="15.75" thickBot="1" x14ac:dyDescent="0.3"/>
    <row r="6" spans="1:30" s="5" customFormat="1" ht="21.75" thickBot="1" x14ac:dyDescent="0.3">
      <c r="A6" s="69" t="s">
        <v>40</v>
      </c>
      <c r="B6" s="70"/>
      <c r="C6" s="70"/>
      <c r="D6" s="70"/>
      <c r="E6" s="70"/>
      <c r="F6" s="71" t="s">
        <v>0</v>
      </c>
      <c r="G6" s="71"/>
      <c r="H6" s="71" t="s">
        <v>32</v>
      </c>
      <c r="I6" s="71"/>
      <c r="J6" s="71" t="s">
        <v>24</v>
      </c>
      <c r="K6" s="71"/>
      <c r="L6" s="49" t="s">
        <v>57</v>
      </c>
      <c r="M6" s="50"/>
      <c r="Z6" s="53"/>
      <c r="AA6" s="53"/>
      <c r="AB6" s="53"/>
      <c r="AC6" s="53"/>
      <c r="AD6" s="53"/>
    </row>
    <row r="7" spans="1:30" ht="63" x14ac:dyDescent="0.25">
      <c r="A7" s="7" t="s">
        <v>1</v>
      </c>
      <c r="B7" s="6" t="s">
        <v>2</v>
      </c>
      <c r="C7" s="6" t="s">
        <v>3</v>
      </c>
      <c r="D7" s="8" t="s">
        <v>4</v>
      </c>
      <c r="E7" s="9" t="s">
        <v>5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7</v>
      </c>
      <c r="M7" s="10" t="s">
        <v>8</v>
      </c>
      <c r="N7" s="6"/>
      <c r="O7" s="23" t="s">
        <v>27</v>
      </c>
      <c r="P7" s="24" t="s">
        <v>25</v>
      </c>
      <c r="Q7" s="24" t="s">
        <v>37</v>
      </c>
      <c r="R7" s="24" t="s">
        <v>31</v>
      </c>
      <c r="S7" s="24" t="s">
        <v>54</v>
      </c>
      <c r="T7" s="24" t="s">
        <v>26</v>
      </c>
      <c r="U7" s="25" t="s">
        <v>58</v>
      </c>
      <c r="W7" s="6" t="s">
        <v>34</v>
      </c>
      <c r="X7" s="6" t="s">
        <v>35</v>
      </c>
      <c r="Y7" s="26" t="s">
        <v>39</v>
      </c>
      <c r="Z7" s="54" t="s">
        <v>33</v>
      </c>
      <c r="AA7" s="54" t="s">
        <v>28</v>
      </c>
      <c r="AB7" s="54" t="s">
        <v>59</v>
      </c>
      <c r="AC7" s="54" t="s">
        <v>60</v>
      </c>
      <c r="AD7" s="54" t="s">
        <v>61</v>
      </c>
    </row>
    <row r="8" spans="1:30" x14ac:dyDescent="0.25">
      <c r="A8" s="11" t="s">
        <v>9</v>
      </c>
      <c r="B8" s="12" t="s">
        <v>10</v>
      </c>
      <c r="C8" s="12">
        <v>9350</v>
      </c>
      <c r="D8" s="13">
        <v>0.93</v>
      </c>
      <c r="E8" s="43">
        <v>0.33800000000000002</v>
      </c>
      <c r="F8" s="14">
        <f t="shared" ref="F8:F22" si="0">$S$2/D8/C8*1000</f>
        <v>203.94445572748262</v>
      </c>
      <c r="G8" s="14">
        <f>F8/30*$J$1</f>
        <v>1380.0241504226324</v>
      </c>
      <c r="H8" s="15">
        <f>F8*E8</f>
        <v>68.933226035889135</v>
      </c>
      <c r="I8" s="15">
        <f>G8*E8</f>
        <v>466.4481628428498</v>
      </c>
      <c r="J8" s="15">
        <f>H8/$D$1</f>
        <v>0.45955484023926091</v>
      </c>
      <c r="K8" s="15">
        <f>I8/$D$1</f>
        <v>3.1096544189523319</v>
      </c>
      <c r="L8" s="15">
        <f t="shared" ref="L8:L22" si="1">U8*$G$2*$S$1/1000*M8+(12-U8)*$G$2*$S$1*$E$10</f>
        <v>108.21597377954113</v>
      </c>
      <c r="M8" s="16">
        <f>1000000/C8/D8*E8</f>
        <v>38.87068023690415</v>
      </c>
      <c r="N8" s="4"/>
      <c r="O8" s="38">
        <v>3000</v>
      </c>
      <c r="P8" s="31">
        <v>700</v>
      </c>
      <c r="Q8" s="31">
        <v>1300</v>
      </c>
      <c r="R8" s="31">
        <v>1</v>
      </c>
      <c r="S8" s="31">
        <v>300</v>
      </c>
      <c r="T8" s="31">
        <v>35</v>
      </c>
      <c r="U8" s="39">
        <v>12</v>
      </c>
      <c r="W8">
        <f>O8+P8+R8*$P$1+Q8+S8</f>
        <v>5700</v>
      </c>
      <c r="X8" s="4">
        <f t="shared" ref="X8:X14" si="2">200*R8*0.2%+R8*K8</f>
        <v>3.5096544189523318</v>
      </c>
      <c r="Y8" s="2">
        <f>$M$3*200*0.2%*R8+(R8*2*K8+R8*($M$3-1)*$M$1*K8)*$M$3/2</f>
        <v>44.891955609223167</v>
      </c>
      <c r="Z8" s="52">
        <f t="shared" ref="Z8:Z14" si="3">W8*(1+$M$2*$M$3)</f>
        <v>7979.9999999999991</v>
      </c>
      <c r="AA8" s="52">
        <f>(2*I8+($M$3-1)*$M$1*I8)*$M$3/2+T8*$M$3</f>
        <v>6483.7933413834753</v>
      </c>
      <c r="AB8" s="52">
        <f>(2*L8+($M$3-1)*$M$1*L8)*$M$3/2</f>
        <v>1423.040055200966</v>
      </c>
      <c r="AC8" s="52">
        <f>SUM(Y8:AA8)</f>
        <v>14508.685296992699</v>
      </c>
      <c r="AD8" s="52">
        <f>SUM(Y8:AB8)</f>
        <v>15931.725352193665</v>
      </c>
    </row>
    <row r="9" spans="1:30" ht="21" x14ac:dyDescent="0.25">
      <c r="A9" s="11" t="s">
        <v>11</v>
      </c>
      <c r="B9" s="12" t="s">
        <v>10</v>
      </c>
      <c r="C9" s="12">
        <v>9350</v>
      </c>
      <c r="D9" s="13">
        <v>1.08</v>
      </c>
      <c r="E9" s="44">
        <f>$E$8</f>
        <v>0.33800000000000002</v>
      </c>
      <c r="F9" s="14">
        <f t="shared" si="0"/>
        <v>175.61883687644337</v>
      </c>
      <c r="G9" s="14">
        <f t="shared" ref="G9:G14" si="4">F9/30*$J$1</f>
        <v>1188.3541295306002</v>
      </c>
      <c r="H9" s="15">
        <f t="shared" ref="H9:H14" si="5">F9*E9</f>
        <v>59.359166864237864</v>
      </c>
      <c r="I9" s="15">
        <f t="shared" ref="I9:I14" si="6">G9*E9</f>
        <v>401.66369578134288</v>
      </c>
      <c r="J9" s="15">
        <f t="shared" ref="J9:J14" si="7">H9/$D$1</f>
        <v>0.39572777909491907</v>
      </c>
      <c r="K9" s="15">
        <f t="shared" ref="K9:K14" si="8">I9/$D$1</f>
        <v>2.6777579718756193</v>
      </c>
      <c r="L9" s="15">
        <f t="shared" si="1"/>
        <v>93.185977421271531</v>
      </c>
      <c r="M9" s="16">
        <f t="shared" ref="M9:M14" si="9">1000000/C9/D9*E9</f>
        <v>33.47197464844524</v>
      </c>
      <c r="N9" s="4"/>
      <c r="O9" s="38">
        <v>3000</v>
      </c>
      <c r="P9" s="31">
        <v>1000</v>
      </c>
      <c r="Q9" s="31">
        <v>1500</v>
      </c>
      <c r="R9" s="31">
        <v>1</v>
      </c>
      <c r="S9" s="31">
        <v>300</v>
      </c>
      <c r="T9" s="31">
        <v>50</v>
      </c>
      <c r="U9" s="39">
        <v>12</v>
      </c>
      <c r="W9">
        <f t="shared" ref="W9:W11" si="10">O9+P9+R9*$P$1+Q9+S9</f>
        <v>6200</v>
      </c>
      <c r="X9" s="4">
        <f t="shared" si="2"/>
        <v>3.0777579718756192</v>
      </c>
      <c r="Y9" s="2">
        <f t="shared" ref="Y9:Y22" si="11">$M$3*200*0.2%*R9+(R9*2*K9+R9*($M$3-1)*$M$1*K9)*$M$3/2</f>
        <v>39.212517330164395</v>
      </c>
      <c r="Z9" s="52">
        <f t="shared" si="3"/>
        <v>8680</v>
      </c>
      <c r="AA9" s="52">
        <f t="shared" ref="AA9:AA14" si="12">(2*I9+($M$3-1)*$M$1*I9)*$M$3/2+T9*$M$3</f>
        <v>5781.8775995246597</v>
      </c>
      <c r="AB9" s="52">
        <f t="shared" ref="AB9:AB22" si="13">(2*L9+($M$3-1)*$M$1*L9)*$M$3/2</f>
        <v>1225.3956030897207</v>
      </c>
      <c r="AC9" s="52">
        <f t="shared" ref="AC9:AC22" si="14">SUM(Y9:AA9)</f>
        <v>14501.090116854824</v>
      </c>
      <c r="AD9" s="52">
        <f t="shared" ref="AD9:AD22" si="15">SUM(Y9:AB9)</f>
        <v>15726.485719944545</v>
      </c>
    </row>
    <row r="10" spans="1:30" ht="21" x14ac:dyDescent="0.25">
      <c r="A10" s="11" t="s">
        <v>13</v>
      </c>
      <c r="B10" s="12" t="s">
        <v>12</v>
      </c>
      <c r="C10" s="12">
        <v>1000</v>
      </c>
      <c r="D10" s="13">
        <v>4.5</v>
      </c>
      <c r="E10" s="43">
        <f>0.1065</f>
        <v>0.1065</v>
      </c>
      <c r="F10" s="14">
        <f t="shared" si="0"/>
        <v>394.0886699507389</v>
      </c>
      <c r="G10" s="14">
        <f t="shared" si="4"/>
        <v>2666.6666666666665</v>
      </c>
      <c r="H10" s="15">
        <f>F10*E10</f>
        <v>41.970443349753694</v>
      </c>
      <c r="I10" s="15">
        <f>G10*E10</f>
        <v>284</v>
      </c>
      <c r="J10" s="15">
        <f t="shared" si="7"/>
        <v>0.27980295566502461</v>
      </c>
      <c r="K10" s="15">
        <f t="shared" si="8"/>
        <v>1.8933333333333333</v>
      </c>
      <c r="L10" s="15">
        <f t="shared" si="1"/>
        <v>161.97466666666662</v>
      </c>
      <c r="M10" s="16">
        <f>1000000/C10/D10*E10</f>
        <v>23.666666666666668</v>
      </c>
      <c r="N10" s="4"/>
      <c r="O10" s="38">
        <v>3000</v>
      </c>
      <c r="P10" s="31">
        <v>2250</v>
      </c>
      <c r="Q10" s="31">
        <v>1500</v>
      </c>
      <c r="R10" s="31">
        <v>2</v>
      </c>
      <c r="S10" s="31">
        <v>200</v>
      </c>
      <c r="T10" s="31">
        <v>15</v>
      </c>
      <c r="U10" s="39">
        <v>7</v>
      </c>
      <c r="W10">
        <f t="shared" si="10"/>
        <v>7750</v>
      </c>
      <c r="X10" s="4">
        <f t="shared" si="2"/>
        <v>4.5866666666666669</v>
      </c>
      <c r="Y10" s="2">
        <f t="shared" si="11"/>
        <v>57.794666666666672</v>
      </c>
      <c r="Z10" s="52">
        <f t="shared" si="3"/>
        <v>10850</v>
      </c>
      <c r="AA10" s="52">
        <f t="shared" si="12"/>
        <v>3884.6000000000004</v>
      </c>
      <c r="AB10" s="52">
        <f t="shared" si="13"/>
        <v>2129.9668666666662</v>
      </c>
      <c r="AC10" s="52">
        <f t="shared" si="14"/>
        <v>14792.394666666667</v>
      </c>
      <c r="AD10" s="52">
        <f t="shared" si="15"/>
        <v>16922.361533333333</v>
      </c>
    </row>
    <row r="11" spans="1:30" ht="21" x14ac:dyDescent="0.25">
      <c r="A11" s="11" t="s">
        <v>14</v>
      </c>
      <c r="B11" s="12" t="s">
        <v>12</v>
      </c>
      <c r="C11" s="12">
        <v>1000</v>
      </c>
      <c r="D11" s="13">
        <v>3.6</v>
      </c>
      <c r="E11" s="44">
        <f>E10</f>
        <v>0.1065</v>
      </c>
      <c r="F11" s="14">
        <f t="shared" si="0"/>
        <v>492.61083743842363</v>
      </c>
      <c r="G11" s="14">
        <f t="shared" si="4"/>
        <v>3333.333333333333</v>
      </c>
      <c r="H11" s="15">
        <f t="shared" si="5"/>
        <v>52.463054187192114</v>
      </c>
      <c r="I11" s="15">
        <f t="shared" si="6"/>
        <v>354.99999999999994</v>
      </c>
      <c r="J11" s="15">
        <f t="shared" si="7"/>
        <v>0.34975369458128075</v>
      </c>
      <c r="K11" s="15">
        <f t="shared" si="8"/>
        <v>2.3666666666666663</v>
      </c>
      <c r="L11" s="15">
        <f t="shared" si="1"/>
        <v>171.58333333333331</v>
      </c>
      <c r="M11" s="16">
        <f t="shared" si="9"/>
        <v>29.583333333333332</v>
      </c>
      <c r="N11" s="4"/>
      <c r="O11" s="38">
        <v>3000</v>
      </c>
      <c r="P11" s="31">
        <v>2250</v>
      </c>
      <c r="Q11" s="31">
        <v>1300</v>
      </c>
      <c r="R11" s="31">
        <v>2</v>
      </c>
      <c r="S11" s="31">
        <v>200</v>
      </c>
      <c r="T11" s="31">
        <v>15</v>
      </c>
      <c r="U11" s="39">
        <v>7</v>
      </c>
      <c r="W11">
        <f t="shared" si="10"/>
        <v>7550</v>
      </c>
      <c r="X11" s="4">
        <f t="shared" si="2"/>
        <v>5.5333333333333323</v>
      </c>
      <c r="Y11" s="2">
        <f t="shared" si="11"/>
        <v>70.243333333333325</v>
      </c>
      <c r="Z11" s="52">
        <f t="shared" si="3"/>
        <v>10570</v>
      </c>
      <c r="AA11" s="52">
        <f t="shared" si="12"/>
        <v>4818.2499999999991</v>
      </c>
      <c r="AB11" s="52">
        <f t="shared" si="13"/>
        <v>2256.3208333333332</v>
      </c>
      <c r="AC11" s="52">
        <f t="shared" si="14"/>
        <v>15458.493333333332</v>
      </c>
      <c r="AD11" s="52">
        <f t="shared" si="15"/>
        <v>17714.814166666663</v>
      </c>
    </row>
    <row r="12" spans="1:30" x14ac:dyDescent="0.25">
      <c r="A12" s="11" t="s">
        <v>15</v>
      </c>
      <c r="B12" s="12" t="s">
        <v>16</v>
      </c>
      <c r="C12" s="12">
        <v>2080000</v>
      </c>
      <c r="D12" s="13">
        <v>0.7</v>
      </c>
      <c r="E12" s="43">
        <v>20</v>
      </c>
      <c r="F12" s="14">
        <f t="shared" si="0"/>
        <v>1.2179938288312673</v>
      </c>
      <c r="G12" s="14">
        <f t="shared" si="4"/>
        <v>8.2417582417582409</v>
      </c>
      <c r="H12" s="15">
        <f t="shared" si="5"/>
        <v>24.359876576625346</v>
      </c>
      <c r="I12" s="15">
        <f t="shared" si="6"/>
        <v>164.83516483516482</v>
      </c>
      <c r="J12" s="15">
        <f t="shared" si="7"/>
        <v>0.1623991771775023</v>
      </c>
      <c r="K12" s="15">
        <f t="shared" si="8"/>
        <v>1.0989010989010988</v>
      </c>
      <c r="L12" s="15">
        <f t="shared" si="1"/>
        <v>145.84769230769228</v>
      </c>
      <c r="M12" s="16">
        <f>1000000/C12/D12*E12</f>
        <v>13.736263736263739</v>
      </c>
      <c r="N12" s="4"/>
      <c r="O12" s="38">
        <v>2000</v>
      </c>
      <c r="P12" s="31">
        <v>480</v>
      </c>
      <c r="Q12" s="31">
        <v>1300</v>
      </c>
      <c r="R12" s="31">
        <v>8</v>
      </c>
      <c r="S12" s="31">
        <v>200</v>
      </c>
      <c r="T12" s="31">
        <v>30</v>
      </c>
      <c r="U12" s="39">
        <v>7</v>
      </c>
      <c r="W12">
        <f>O12+P12+R12*$P$1+Q12+$P$2+S12</f>
        <v>8180</v>
      </c>
      <c r="X12" s="4">
        <f t="shared" si="2"/>
        <v>11.991208791208791</v>
      </c>
      <c r="Y12" s="2">
        <f t="shared" si="11"/>
        <v>147.60439560439562</v>
      </c>
      <c r="Z12" s="52">
        <f t="shared" si="3"/>
        <v>11452</v>
      </c>
      <c r="AA12" s="52">
        <f t="shared" si="12"/>
        <v>2467.5824175824173</v>
      </c>
      <c r="AB12" s="52">
        <f t="shared" si="13"/>
        <v>1917.8971538461537</v>
      </c>
      <c r="AC12" s="52">
        <f t="shared" si="14"/>
        <v>14067.186813186814</v>
      </c>
      <c r="AD12" s="52">
        <f t="shared" si="15"/>
        <v>15985.083967032968</v>
      </c>
    </row>
    <row r="13" spans="1:30" x14ac:dyDescent="0.25">
      <c r="A13" s="11" t="s">
        <v>17</v>
      </c>
      <c r="B13" s="12" t="s">
        <v>16</v>
      </c>
      <c r="C13" s="12">
        <v>2080000</v>
      </c>
      <c r="D13" s="13">
        <v>0.55000000000000004</v>
      </c>
      <c r="E13" s="44">
        <f>E12</f>
        <v>20</v>
      </c>
      <c r="F13" s="14">
        <f t="shared" si="0"/>
        <v>1.5501739639670673</v>
      </c>
      <c r="G13" s="14">
        <f t="shared" si="4"/>
        <v>10.489510489510488</v>
      </c>
      <c r="H13" s="15">
        <f t="shared" si="5"/>
        <v>31.003479279341345</v>
      </c>
      <c r="I13" s="15">
        <f t="shared" si="6"/>
        <v>209.79020979020976</v>
      </c>
      <c r="J13" s="15">
        <f t="shared" si="7"/>
        <v>0.20668986186227564</v>
      </c>
      <c r="K13" s="15">
        <f t="shared" si="8"/>
        <v>1.3986013986013983</v>
      </c>
      <c r="L13" s="15">
        <f t="shared" si="1"/>
        <v>151.93160839160836</v>
      </c>
      <c r="M13" s="16">
        <f t="shared" si="9"/>
        <v>17.48251748251748</v>
      </c>
      <c r="N13" s="4"/>
      <c r="O13" s="38">
        <v>2000</v>
      </c>
      <c r="P13" s="31">
        <v>600</v>
      </c>
      <c r="Q13" s="31">
        <v>1300</v>
      </c>
      <c r="R13" s="31">
        <v>8</v>
      </c>
      <c r="S13" s="31">
        <v>200</v>
      </c>
      <c r="T13" s="31">
        <v>30</v>
      </c>
      <c r="U13" s="39">
        <v>7</v>
      </c>
      <c r="W13">
        <f>O13+P13+R13*$P$1+Q13+$P$2+S13</f>
        <v>8300</v>
      </c>
      <c r="X13" s="4">
        <f t="shared" si="2"/>
        <v>14.388811188811186</v>
      </c>
      <c r="Y13" s="2">
        <f t="shared" si="11"/>
        <v>179.13286713286712</v>
      </c>
      <c r="Z13" s="52">
        <f t="shared" si="3"/>
        <v>11620</v>
      </c>
      <c r="AA13" s="52">
        <f t="shared" si="12"/>
        <v>3058.7412587412587</v>
      </c>
      <c r="AB13" s="52">
        <f t="shared" si="13"/>
        <v>1997.90065034965</v>
      </c>
      <c r="AC13" s="52">
        <f t="shared" si="14"/>
        <v>14857.874125874125</v>
      </c>
      <c r="AD13" s="52">
        <f t="shared" si="15"/>
        <v>16855.774776223774</v>
      </c>
    </row>
    <row r="14" spans="1:30" s="28" customFormat="1" ht="21.75" thickBot="1" x14ac:dyDescent="0.3">
      <c r="A14" s="17" t="s">
        <v>18</v>
      </c>
      <c r="B14" s="18" t="s">
        <v>19</v>
      </c>
      <c r="C14" s="18">
        <v>5000</v>
      </c>
      <c r="D14" s="19">
        <v>0.85</v>
      </c>
      <c r="E14" s="45">
        <v>0.12</v>
      </c>
      <c r="F14" s="20">
        <f t="shared" si="0"/>
        <v>417.27035641842946</v>
      </c>
      <c r="G14" s="20">
        <f t="shared" si="4"/>
        <v>2823.5294117647059</v>
      </c>
      <c r="H14" s="21">
        <f t="shared" si="5"/>
        <v>50.072442770211531</v>
      </c>
      <c r="I14" s="21">
        <f t="shared" si="6"/>
        <v>338.8235294117647</v>
      </c>
      <c r="J14" s="21">
        <f t="shared" si="7"/>
        <v>0.33381628513474354</v>
      </c>
      <c r="K14" s="21">
        <f t="shared" si="8"/>
        <v>2.2588235294117647</v>
      </c>
      <c r="L14" s="21">
        <f t="shared" si="1"/>
        <v>169.39411764705881</v>
      </c>
      <c r="M14" s="22">
        <f t="shared" si="9"/>
        <v>28.235294117647062</v>
      </c>
      <c r="N14" s="27"/>
      <c r="O14" s="40">
        <v>1200</v>
      </c>
      <c r="P14" s="41">
        <v>1600</v>
      </c>
      <c r="Q14" s="41">
        <v>1300</v>
      </c>
      <c r="R14" s="41">
        <v>4</v>
      </c>
      <c r="S14" s="41">
        <v>200</v>
      </c>
      <c r="T14" s="41">
        <v>50</v>
      </c>
      <c r="U14" s="42">
        <v>7</v>
      </c>
      <c r="W14" s="28">
        <f>O14+P14+R14*$P$1+Q14+$P$2/2+S14</f>
        <v>6400</v>
      </c>
      <c r="X14" s="27">
        <f t="shared" si="2"/>
        <v>10.635294117647058</v>
      </c>
      <c r="Y14" s="2">
        <f t="shared" si="11"/>
        <v>134.81411764705882</v>
      </c>
      <c r="Z14" s="55">
        <f t="shared" si="3"/>
        <v>8960</v>
      </c>
      <c r="AA14" s="55">
        <f t="shared" si="12"/>
        <v>4955.5294117647063</v>
      </c>
      <c r="AB14" s="52">
        <f t="shared" si="13"/>
        <v>2227.5326470588234</v>
      </c>
      <c r="AC14" s="55">
        <f t="shared" si="14"/>
        <v>14050.343529411764</v>
      </c>
      <c r="AD14" s="55">
        <f t="shared" si="15"/>
        <v>16277.876176470589</v>
      </c>
    </row>
    <row r="15" spans="1:30" ht="21" x14ac:dyDescent="0.25">
      <c r="A15" s="34" t="s">
        <v>41</v>
      </c>
      <c r="B15" s="35" t="s">
        <v>42</v>
      </c>
      <c r="C15" s="35">
        <v>13960</v>
      </c>
      <c r="D15" s="35">
        <v>0.93</v>
      </c>
      <c r="E15" s="48">
        <v>0.86</v>
      </c>
      <c r="F15" s="14">
        <f t="shared" si="0"/>
        <v>136.5960358919744</v>
      </c>
      <c r="G15" s="14">
        <f t="shared" ref="G15:G22" si="16">F15/30*$J$1</f>
        <v>924.29984286902675</v>
      </c>
      <c r="H15" s="15">
        <f t="shared" ref="H15:H22" si="17">F15*E15</f>
        <v>117.47259086709798</v>
      </c>
      <c r="I15" s="15">
        <f t="shared" ref="I15:I22" si="18">G15*E15</f>
        <v>794.89786486736296</v>
      </c>
      <c r="J15" s="15">
        <f t="shared" ref="J15:J22" si="19">H15/$D$1</f>
        <v>0.78315060578065321</v>
      </c>
      <c r="K15" s="15">
        <f t="shared" ref="K15:K22" si="20">I15/$D$1</f>
        <v>5.2993190991157526</v>
      </c>
      <c r="L15" s="15">
        <f t="shared" si="1"/>
        <v>184.41630464922815</v>
      </c>
      <c r="M15" s="16">
        <f t="shared" ref="M15:M22" si="21">1000000/C15/D15*E15</f>
        <v>66.241488738946913</v>
      </c>
      <c r="N15" s="29"/>
      <c r="O15" s="38">
        <v>1200</v>
      </c>
      <c r="P15" s="31">
        <v>700</v>
      </c>
      <c r="Q15" s="31">
        <v>1300</v>
      </c>
      <c r="R15" s="31">
        <v>1</v>
      </c>
      <c r="S15" s="31">
        <v>300</v>
      </c>
      <c r="T15" s="31">
        <v>35</v>
      </c>
      <c r="U15" s="39">
        <v>12</v>
      </c>
      <c r="W15" s="30">
        <f>O15+P15+R15*$P$1+Q15+S15</f>
        <v>3900</v>
      </c>
      <c r="X15" s="29">
        <f t="shared" ref="X15:X22" si="22">200*R15*0.2%+R15*K15</f>
        <v>5.699319099115753</v>
      </c>
      <c r="Y15" s="2">
        <f t="shared" si="11"/>
        <v>73.686046153372146</v>
      </c>
      <c r="Z15" s="56">
        <f t="shared" ref="Z15:Z22" si="23">W15*(1+$M$2*$M$3)</f>
        <v>5460</v>
      </c>
      <c r="AA15" s="56">
        <f t="shared" ref="AA15:AA22" si="24">(2*I15+($M$3-1)*$M$1*I15)*$M$3/2+T15*$M$3</f>
        <v>10802.906923005823</v>
      </c>
      <c r="AB15" s="52">
        <f t="shared" si="13"/>
        <v>2425.0744061373503</v>
      </c>
      <c r="AC15" s="52">
        <f t="shared" si="14"/>
        <v>16336.592969159195</v>
      </c>
      <c r="AD15" s="52">
        <f t="shared" si="15"/>
        <v>18761.667375296547</v>
      </c>
    </row>
    <row r="16" spans="1:30" x14ac:dyDescent="0.25">
      <c r="A16" s="32" t="s">
        <v>43</v>
      </c>
      <c r="B16" s="33" t="s">
        <v>42</v>
      </c>
      <c r="C16" s="33">
        <v>13960</v>
      </c>
      <c r="D16" s="33">
        <v>0.93</v>
      </c>
      <c r="E16" s="47">
        <v>0.63</v>
      </c>
      <c r="F16" s="14">
        <f t="shared" si="0"/>
        <v>136.5960358919744</v>
      </c>
      <c r="G16" s="14">
        <f t="shared" si="16"/>
        <v>924.29984286902675</v>
      </c>
      <c r="H16" s="15">
        <f t="shared" si="17"/>
        <v>86.055502611943865</v>
      </c>
      <c r="I16" s="15">
        <f t="shared" si="18"/>
        <v>582.30890100748684</v>
      </c>
      <c r="J16" s="15">
        <f t="shared" si="19"/>
        <v>0.57370335074629242</v>
      </c>
      <c r="K16" s="15">
        <f t="shared" si="20"/>
        <v>3.8820593400499122</v>
      </c>
      <c r="L16" s="15">
        <f t="shared" si="1"/>
        <v>135.09566503373694</v>
      </c>
      <c r="M16" s="16">
        <f t="shared" si="21"/>
        <v>48.525741750623908</v>
      </c>
      <c r="N16" s="29"/>
      <c r="O16" s="38">
        <v>1200</v>
      </c>
      <c r="P16" s="31">
        <v>700</v>
      </c>
      <c r="Q16" s="31">
        <v>1300</v>
      </c>
      <c r="R16" s="31">
        <v>1</v>
      </c>
      <c r="S16" s="31">
        <v>300</v>
      </c>
      <c r="T16" s="31">
        <v>35</v>
      </c>
      <c r="U16" s="39">
        <v>12</v>
      </c>
      <c r="W16" s="30">
        <f t="shared" ref="W16:W18" si="25">O16+P16+R16*$P$1+Q16+S16</f>
        <v>3900</v>
      </c>
      <c r="X16" s="29">
        <f t="shared" si="22"/>
        <v>4.2820593400499121</v>
      </c>
      <c r="Y16" s="2">
        <f t="shared" si="11"/>
        <v>55.049080321656348</v>
      </c>
      <c r="Z16" s="56">
        <f t="shared" si="23"/>
        <v>5460</v>
      </c>
      <c r="AA16" s="56">
        <f t="shared" si="24"/>
        <v>8007.3620482484521</v>
      </c>
      <c r="AB16" s="52">
        <f t="shared" si="13"/>
        <v>1776.5079951936409</v>
      </c>
      <c r="AC16" s="52">
        <f t="shared" si="14"/>
        <v>13522.411128570107</v>
      </c>
      <c r="AD16" s="52">
        <f t="shared" si="15"/>
        <v>15298.919123763748</v>
      </c>
    </row>
    <row r="17" spans="1:30" x14ac:dyDescent="0.25">
      <c r="A17" s="34" t="s">
        <v>44</v>
      </c>
      <c r="B17" s="35" t="s">
        <v>12</v>
      </c>
      <c r="C17" s="35">
        <v>1000</v>
      </c>
      <c r="D17" s="35">
        <v>0.99</v>
      </c>
      <c r="E17" s="46">
        <f>E10</f>
        <v>0.1065</v>
      </c>
      <c r="F17" s="14">
        <f t="shared" si="0"/>
        <v>1791.3121361397225</v>
      </c>
      <c r="G17" s="14">
        <f t="shared" si="16"/>
        <v>12121.212121212122</v>
      </c>
      <c r="H17" s="15">
        <f t="shared" si="17"/>
        <v>190.77474249888044</v>
      </c>
      <c r="I17" s="15">
        <f t="shared" si="18"/>
        <v>1290.909090909091</v>
      </c>
      <c r="J17" s="15">
        <f t="shared" si="19"/>
        <v>1.271831616659203</v>
      </c>
      <c r="K17" s="15">
        <f t="shared" si="20"/>
        <v>8.6060606060606073</v>
      </c>
      <c r="L17" s="15">
        <f t="shared" si="1"/>
        <v>296.49599999999992</v>
      </c>
      <c r="M17" s="16">
        <f t="shared" si="21"/>
        <v>107.57575757575758</v>
      </c>
      <c r="N17" s="29"/>
      <c r="O17" s="38">
        <v>200</v>
      </c>
      <c r="P17" s="31">
        <v>0</v>
      </c>
      <c r="Q17" s="31">
        <v>1000</v>
      </c>
      <c r="R17" s="31">
        <v>0</v>
      </c>
      <c r="S17" s="31">
        <v>100</v>
      </c>
      <c r="T17" s="31">
        <v>0</v>
      </c>
      <c r="U17" s="39">
        <v>0</v>
      </c>
      <c r="W17" s="30">
        <f t="shared" si="25"/>
        <v>1300</v>
      </c>
      <c r="X17" s="29">
        <f t="shared" si="22"/>
        <v>0</v>
      </c>
      <c r="Y17" s="2">
        <f t="shared" si="11"/>
        <v>0</v>
      </c>
      <c r="Z17" s="56">
        <f t="shared" si="23"/>
        <v>1819.9999999999998</v>
      </c>
      <c r="AA17" s="56">
        <f t="shared" si="24"/>
        <v>16975.454545454548</v>
      </c>
      <c r="AB17" s="52">
        <f t="shared" si="13"/>
        <v>3898.922399999999</v>
      </c>
      <c r="AC17" s="52">
        <f t="shared" si="14"/>
        <v>18795.454545454548</v>
      </c>
      <c r="AD17" s="52">
        <f t="shared" si="15"/>
        <v>22694.376945454547</v>
      </c>
    </row>
    <row r="18" spans="1:30" x14ac:dyDescent="0.25">
      <c r="A18" s="32" t="s">
        <v>45</v>
      </c>
      <c r="B18" s="33" t="s">
        <v>12</v>
      </c>
      <c r="C18" s="33">
        <v>1000</v>
      </c>
      <c r="D18" s="33">
        <v>2</v>
      </c>
      <c r="E18" s="9">
        <f>E10</f>
        <v>0.1065</v>
      </c>
      <c r="F18" s="14">
        <f t="shared" si="0"/>
        <v>886.69950738916259</v>
      </c>
      <c r="G18" s="14">
        <f t="shared" si="16"/>
        <v>6000</v>
      </c>
      <c r="H18" s="15">
        <f t="shared" si="17"/>
        <v>94.433497536945808</v>
      </c>
      <c r="I18" s="15">
        <f t="shared" si="18"/>
        <v>639</v>
      </c>
      <c r="J18" s="15">
        <f t="shared" si="19"/>
        <v>0.62955665024630536</v>
      </c>
      <c r="K18" s="15">
        <f t="shared" si="20"/>
        <v>4.26</v>
      </c>
      <c r="L18" s="15">
        <f t="shared" si="1"/>
        <v>296.49599999999992</v>
      </c>
      <c r="M18" s="16">
        <f t="shared" si="21"/>
        <v>53.25</v>
      </c>
      <c r="N18" s="29"/>
      <c r="O18" s="38">
        <v>400</v>
      </c>
      <c r="P18" s="31">
        <v>3000</v>
      </c>
      <c r="Q18" s="31">
        <v>0</v>
      </c>
      <c r="R18" s="31">
        <v>0</v>
      </c>
      <c r="S18" s="31">
        <v>100</v>
      </c>
      <c r="T18" s="31">
        <v>20</v>
      </c>
      <c r="U18" s="39">
        <v>0</v>
      </c>
      <c r="W18" s="30">
        <f t="shared" si="25"/>
        <v>3500</v>
      </c>
      <c r="X18" s="29">
        <f t="shared" si="22"/>
        <v>0</v>
      </c>
      <c r="Y18" s="2">
        <f t="shared" si="11"/>
        <v>0</v>
      </c>
      <c r="Z18" s="56">
        <f t="shared" si="23"/>
        <v>4900</v>
      </c>
      <c r="AA18" s="56">
        <f t="shared" si="24"/>
        <v>8602.85</v>
      </c>
      <c r="AB18" s="52">
        <f t="shared" si="13"/>
        <v>3898.922399999999</v>
      </c>
      <c r="AC18" s="52">
        <f t="shared" si="14"/>
        <v>13502.85</v>
      </c>
      <c r="AD18" s="52">
        <f t="shared" si="15"/>
        <v>17401.772399999998</v>
      </c>
    </row>
    <row r="19" spans="1:30" x14ac:dyDescent="0.25">
      <c r="A19" s="32" t="s">
        <v>46</v>
      </c>
      <c r="B19" s="33" t="s">
        <v>42</v>
      </c>
      <c r="C19" s="33">
        <v>7500</v>
      </c>
      <c r="D19" s="33">
        <v>0.75</v>
      </c>
      <c r="E19" s="47">
        <f>105/1000</f>
        <v>0.105</v>
      </c>
      <c r="F19" s="14">
        <f t="shared" si="0"/>
        <v>315.27093596059115</v>
      </c>
      <c r="G19" s="14">
        <f t="shared" si="16"/>
        <v>2133.333333333333</v>
      </c>
      <c r="H19" s="15">
        <f t="shared" si="17"/>
        <v>33.103448275862071</v>
      </c>
      <c r="I19" s="15">
        <f t="shared" si="18"/>
        <v>223.99999999999997</v>
      </c>
      <c r="J19" s="15">
        <f t="shared" si="19"/>
        <v>0.22068965517241382</v>
      </c>
      <c r="K19" s="15">
        <f t="shared" si="20"/>
        <v>1.4933333333333332</v>
      </c>
      <c r="L19" s="15">
        <f t="shared" si="1"/>
        <v>153.85466666666665</v>
      </c>
      <c r="M19" s="16">
        <f t="shared" si="21"/>
        <v>18.666666666666668</v>
      </c>
      <c r="N19" s="29"/>
      <c r="O19" s="38">
        <v>2000</v>
      </c>
      <c r="P19" s="31">
        <v>480</v>
      </c>
      <c r="Q19" s="31">
        <v>1300</v>
      </c>
      <c r="R19" s="31">
        <v>8</v>
      </c>
      <c r="S19" s="31">
        <v>200</v>
      </c>
      <c r="T19" s="31">
        <v>30</v>
      </c>
      <c r="U19" s="39">
        <v>7</v>
      </c>
      <c r="W19" s="30">
        <f>O19+P19+R19*$P$1+Q19+$P$2/2+S19</f>
        <v>7680</v>
      </c>
      <c r="X19" s="29">
        <f t="shared" si="22"/>
        <v>15.146666666666665</v>
      </c>
      <c r="Y19" s="2">
        <f t="shared" si="11"/>
        <v>189.09866666666667</v>
      </c>
      <c r="Z19" s="56">
        <f t="shared" si="23"/>
        <v>10752</v>
      </c>
      <c r="AA19" s="56">
        <f t="shared" si="24"/>
        <v>3245.5999999999995</v>
      </c>
      <c r="AB19" s="52">
        <f t="shared" si="13"/>
        <v>2023.1888666666666</v>
      </c>
      <c r="AC19" s="52">
        <f t="shared" si="14"/>
        <v>14186.698666666667</v>
      </c>
      <c r="AD19" s="52">
        <f t="shared" si="15"/>
        <v>16209.887533333334</v>
      </c>
    </row>
    <row r="20" spans="1:30" x14ac:dyDescent="0.25">
      <c r="A20" s="34" t="s">
        <v>47</v>
      </c>
      <c r="B20" s="35" t="s">
        <v>42</v>
      </c>
      <c r="C20" s="35">
        <v>7500</v>
      </c>
      <c r="D20" s="35">
        <v>0.65</v>
      </c>
      <c r="E20" s="46">
        <f>E19</f>
        <v>0.105</v>
      </c>
      <c r="F20" s="14">
        <f t="shared" si="0"/>
        <v>363.77415687760509</v>
      </c>
      <c r="G20" s="14">
        <f t="shared" si="16"/>
        <v>2461.538461538461</v>
      </c>
      <c r="H20" s="15">
        <f t="shared" si="17"/>
        <v>38.196286472148536</v>
      </c>
      <c r="I20" s="15">
        <f t="shared" si="18"/>
        <v>258.4615384615384</v>
      </c>
      <c r="J20" s="15">
        <f t="shared" si="19"/>
        <v>0.25464190981432355</v>
      </c>
      <c r="K20" s="15">
        <f t="shared" si="20"/>
        <v>1.7230769230769227</v>
      </c>
      <c r="L20" s="15">
        <f t="shared" si="1"/>
        <v>158.51846153846151</v>
      </c>
      <c r="M20" s="16">
        <f t="shared" si="21"/>
        <v>21.53846153846154</v>
      </c>
      <c r="N20" s="29"/>
      <c r="O20" s="38">
        <v>2000</v>
      </c>
      <c r="P20" s="31">
        <v>600</v>
      </c>
      <c r="Q20" s="31">
        <v>1300</v>
      </c>
      <c r="R20" s="31">
        <v>8</v>
      </c>
      <c r="S20" s="31">
        <v>200</v>
      </c>
      <c r="T20" s="31">
        <v>30</v>
      </c>
      <c r="U20" s="39">
        <v>7</v>
      </c>
      <c r="W20" s="30">
        <f>O20+P20+R20*$P$1+Q20+$P$2/2+S20</f>
        <v>7800</v>
      </c>
      <c r="X20" s="29">
        <f t="shared" si="22"/>
        <v>16.984615384615381</v>
      </c>
      <c r="Y20" s="2">
        <f t="shared" si="11"/>
        <v>213.26769230769227</v>
      </c>
      <c r="Z20" s="56">
        <f t="shared" si="23"/>
        <v>10920</v>
      </c>
      <c r="AA20" s="56">
        <f t="shared" si="24"/>
        <v>3698.76923076923</v>
      </c>
      <c r="AB20" s="52">
        <f t="shared" si="13"/>
        <v>2084.5177692307689</v>
      </c>
      <c r="AC20" s="52">
        <f t="shared" si="14"/>
        <v>14832.036923076923</v>
      </c>
      <c r="AD20" s="52">
        <f t="shared" si="15"/>
        <v>16916.554692307691</v>
      </c>
    </row>
    <row r="21" spans="1:30" x14ac:dyDescent="0.25">
      <c r="A21" s="32" t="s">
        <v>48</v>
      </c>
      <c r="B21" s="33" t="s">
        <v>49</v>
      </c>
      <c r="C21" s="33">
        <v>10000</v>
      </c>
      <c r="D21" s="33">
        <v>0.9</v>
      </c>
      <c r="E21" s="47">
        <v>0.64</v>
      </c>
      <c r="F21" s="14">
        <f t="shared" si="0"/>
        <v>197.04433497536945</v>
      </c>
      <c r="G21" s="14">
        <f t="shared" si="16"/>
        <v>1333.3333333333333</v>
      </c>
      <c r="H21" s="15">
        <f t="shared" si="17"/>
        <v>126.10837438423646</v>
      </c>
      <c r="I21" s="15">
        <f t="shared" si="18"/>
        <v>853.33333333333326</v>
      </c>
      <c r="J21" s="15">
        <f t="shared" si="19"/>
        <v>0.84072249589490966</v>
      </c>
      <c r="K21" s="15">
        <f t="shared" si="20"/>
        <v>5.6888888888888882</v>
      </c>
      <c r="L21" s="15">
        <f t="shared" si="1"/>
        <v>239.02444444444438</v>
      </c>
      <c r="M21" s="16">
        <f t="shared" si="21"/>
        <v>71.111111111111114</v>
      </c>
      <c r="N21" s="29"/>
      <c r="O21" s="38">
        <v>1200</v>
      </c>
      <c r="P21" s="31">
        <v>800</v>
      </c>
      <c r="Q21" s="31">
        <v>1300</v>
      </c>
      <c r="R21" s="31">
        <v>4</v>
      </c>
      <c r="S21" s="31">
        <v>200</v>
      </c>
      <c r="T21" s="31">
        <v>30</v>
      </c>
      <c r="U21" s="39">
        <v>7</v>
      </c>
      <c r="W21" s="30">
        <f>O21+P21+R21*$P$1+Q21+$P$2/2+S21</f>
        <v>5600</v>
      </c>
      <c r="X21" s="29">
        <f t="shared" si="22"/>
        <v>24.355555555555554</v>
      </c>
      <c r="Y21" s="2">
        <f t="shared" si="11"/>
        <v>315.23555555555549</v>
      </c>
      <c r="Z21" s="56">
        <f t="shared" si="23"/>
        <v>7839.9999999999991</v>
      </c>
      <c r="AA21" s="56">
        <f t="shared" si="24"/>
        <v>11521.333333333332</v>
      </c>
      <c r="AB21" s="52">
        <f t="shared" si="13"/>
        <v>3143.1714444444433</v>
      </c>
      <c r="AC21" s="52">
        <f t="shared" si="14"/>
        <v>19676.568888888887</v>
      </c>
      <c r="AD21" s="52">
        <f t="shared" si="15"/>
        <v>22819.740333333331</v>
      </c>
    </row>
    <row r="22" spans="1:30" s="28" customFormat="1" ht="21.75" thickBot="1" x14ac:dyDescent="0.3">
      <c r="A22" s="36" t="s">
        <v>51</v>
      </c>
      <c r="B22" s="37" t="s">
        <v>50</v>
      </c>
      <c r="C22" s="37">
        <v>4000</v>
      </c>
      <c r="D22" s="37">
        <v>0.85</v>
      </c>
      <c r="E22" s="51">
        <f>140/1000</f>
        <v>0.14000000000000001</v>
      </c>
      <c r="F22" s="20">
        <f t="shared" si="0"/>
        <v>521.58794552303686</v>
      </c>
      <c r="G22" s="20">
        <f t="shared" si="16"/>
        <v>3529.4117647058824</v>
      </c>
      <c r="H22" s="21">
        <f t="shared" si="17"/>
        <v>73.022312373225162</v>
      </c>
      <c r="I22" s="21">
        <f t="shared" si="18"/>
        <v>494.11764705882359</v>
      </c>
      <c r="J22" s="21">
        <f t="shared" si="19"/>
        <v>0.48681541582150106</v>
      </c>
      <c r="K22" s="21">
        <f t="shared" si="20"/>
        <v>3.2941176470588238</v>
      </c>
      <c r="L22" s="21">
        <f t="shared" si="1"/>
        <v>190.41058823529409</v>
      </c>
      <c r="M22" s="22">
        <f t="shared" si="21"/>
        <v>41.176470588235297</v>
      </c>
      <c r="N22" s="27"/>
      <c r="O22" s="40">
        <v>1200</v>
      </c>
      <c r="P22" s="41">
        <v>1600</v>
      </c>
      <c r="Q22" s="41">
        <v>1300</v>
      </c>
      <c r="R22" s="41">
        <v>4</v>
      </c>
      <c r="S22" s="41">
        <v>200</v>
      </c>
      <c r="T22" s="41">
        <v>50</v>
      </c>
      <c r="U22" s="42">
        <v>7</v>
      </c>
      <c r="W22" s="28">
        <f>O22+P22+R22*$P$1+Q22+$P$2+S22</f>
        <v>6900</v>
      </c>
      <c r="X22" s="27">
        <f t="shared" si="22"/>
        <v>14.776470588235295</v>
      </c>
      <c r="Y22" s="2">
        <f t="shared" si="11"/>
        <v>189.27058823529413</v>
      </c>
      <c r="Z22" s="55">
        <f t="shared" si="23"/>
        <v>9660</v>
      </c>
      <c r="AA22" s="55">
        <f t="shared" si="24"/>
        <v>6997.6470588235306</v>
      </c>
      <c r="AB22" s="52">
        <f t="shared" si="13"/>
        <v>2503.8992352941173</v>
      </c>
      <c r="AC22" s="55">
        <f t="shared" si="14"/>
        <v>16846.917647058825</v>
      </c>
      <c r="AD22" s="55">
        <f t="shared" si="15"/>
        <v>19350.816882352941</v>
      </c>
    </row>
  </sheetData>
  <mergeCells count="4">
    <mergeCell ref="A6:E6"/>
    <mergeCell ref="F6:G6"/>
    <mergeCell ref="H6:I6"/>
    <mergeCell ref="J6:K6"/>
  </mergeCells>
  <conditionalFormatting sqref="M8:M22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{52C46F91-084E-4DB3-87A1-F77739FC5248}</x14:id>
        </ext>
      </extLst>
    </cfRule>
  </conditionalFormatting>
  <conditionalFormatting sqref="AD8:AD2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{201EAAC0-8853-4E54-A4EC-997582CE7149}</x14:id>
        </ext>
      </extLst>
    </cfRule>
  </conditionalFormatting>
  <conditionalFormatting sqref="AB8:AB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{28F81726-DA6C-417B-B9DF-EA32240EAA9D}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C46F91-084E-4DB3-87A1-F77739FC52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M8:M22</xm:sqref>
        </x14:conditionalFormatting>
        <x14:conditionalFormatting xmlns:xm="http://schemas.microsoft.com/office/excel/2006/main">
          <x14:cfRule type="dataBar" id="{201EAAC0-8853-4E54-A4EC-997582CE71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AD8:AD22</xm:sqref>
        </x14:conditionalFormatting>
        <x14:conditionalFormatting xmlns:xm="http://schemas.microsoft.com/office/excel/2006/main">
          <x14:cfRule type="dataBar" id="{28F81726-DA6C-417B-B9DF-EA32240EAA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AB8:AB22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Ernests Dreimanis</dc:creator>
  <cp:lastModifiedBy>Ernests Dreimanis</cp:lastModifiedBy>
  <dcterms:created xsi:type="dcterms:W3CDTF">2013-03-11T13:19:40Z</dcterms:created>
  <dcterms:modified xsi:type="dcterms:W3CDTF">2013-04-16T07:41:00Z</dcterms:modified>
</cp:coreProperties>
</file>